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910" windowHeight="7125" activeTab="0"/>
  </bookViews>
  <sheets>
    <sheet name="P19" sheetId="1" r:id="rId1"/>
    <sheet name="Sheet2" sheetId="2" r:id="rId2"/>
    <sheet name="Sheet3" sheetId="3" r:id="rId3"/>
  </sheets>
  <definedNames>
    <definedName name="AirTemp">'P19'!$I$8</definedName>
    <definedName name="b_atKm">'P19'!$B$25</definedName>
    <definedName name="b_atNmx">'P19'!$B$9</definedName>
    <definedName name="b_Km0">'P19'!$B$23</definedName>
    <definedName name="b_ma0Km">'P19'!$B$30</definedName>
    <definedName name="b_ma0Nmx">'P19'!$B$14</definedName>
    <definedName name="b_ma1Km">'P19'!$B$31</definedName>
    <definedName name="b_ma1Nmx">'P19'!$B$15</definedName>
    <definedName name="b_ma2Km">'P19'!$B$32</definedName>
    <definedName name="b_ma2Nmx">'P19'!$B$16</definedName>
    <definedName name="b_ma3Km">'P19'!$B$33</definedName>
    <definedName name="b_ma3Nmx">'P19'!$B$17</definedName>
    <definedName name="b_ma4Km">'P19'!$B$34</definedName>
    <definedName name="b_ma4Nmx">'P19'!$B$18</definedName>
    <definedName name="b_mdmKm">'P19'!$B$28</definedName>
    <definedName name="b_mdmNmx">'P19'!$B$12</definedName>
    <definedName name="b_met1Km">'P19'!$B$37</definedName>
    <definedName name="b_met1Nmx">'P19'!$B$21</definedName>
    <definedName name="b_met2Km">'P19'!$B$38</definedName>
    <definedName name="b_met2Nmx">'P19'!$B$22</definedName>
    <definedName name="b_mi0Km">'P19'!$B$36</definedName>
    <definedName name="b_mi0Nmx">'P19'!$B$20</definedName>
    <definedName name="b_mrKm">'P19'!$B$35</definedName>
    <definedName name="b_mrNmx">'P19'!$B$19</definedName>
    <definedName name="b_mt1Km">'P19'!$B$27</definedName>
    <definedName name="b_mt1Nmx">'P19'!$B$11</definedName>
    <definedName name="b_mtanKm">'P19'!$B$29</definedName>
    <definedName name="b_mtanNmx">'P19'!$B$13</definedName>
    <definedName name="b_Nmx0">'P19'!$B$7</definedName>
    <definedName name="b_sm1Km">'P19'!$B$24</definedName>
    <definedName name="b_sm1Nmx">'P19'!$B$8</definedName>
    <definedName name="b_wsKm">'P19'!$B$26</definedName>
    <definedName name="b_wsNmx">'P19'!$B$10</definedName>
    <definedName name="I_MA0">'P19'!$I$13</definedName>
    <definedName name="I_MA1">'P19'!$I$14</definedName>
    <definedName name="I_MA2">'P19'!$I$15</definedName>
    <definedName name="I_MA3">'P19'!$I$16</definedName>
    <definedName name="I_MA4">'P19'!$I$17</definedName>
    <definedName name="I_MeT1">'P19'!$I$20</definedName>
    <definedName name="I_MeT2">'P19'!$I$21</definedName>
    <definedName name="I_MI0">'P19'!$I$19</definedName>
    <definedName name="I_MT1">'P19'!$I$10</definedName>
    <definedName name="I_SM1">'P19'!$I$7</definedName>
    <definedName name="Km">'P19'!$I$29</definedName>
    <definedName name="ManureDM">'P19'!$I$11</definedName>
    <definedName name="ManureRate">'P19'!$I$18</definedName>
    <definedName name="ManureTAN">'P19'!$I$12</definedName>
    <definedName name="Nmax">'P19'!$I$28</definedName>
    <definedName name="WindSpeed">'P19'!$I$9</definedName>
  </definedNames>
  <calcPr fullCalcOnLoad="1"/>
</workbook>
</file>

<file path=xl/sharedStrings.xml><?xml version="1.0" encoding="utf-8"?>
<sst xmlns="http://schemas.openxmlformats.org/spreadsheetml/2006/main" count="112" uniqueCount="106">
  <si>
    <t>Parameter estimates:</t>
  </si>
  <si>
    <t>Approx</t>
  </si>
  <si>
    <t>Parameter</t>
  </si>
  <si>
    <t>Estimate</t>
  </si>
  <si>
    <t>Std Error</t>
  </si>
  <si>
    <t>b_Nmx0</t>
  </si>
  <si>
    <t>b_sm1Nmx</t>
  </si>
  <si>
    <t>b_atNmx</t>
  </si>
  <si>
    <t>b_wsNmx</t>
  </si>
  <si>
    <t>b_mt1Nmx</t>
  </si>
  <si>
    <t>b_mdmNmx</t>
  </si>
  <si>
    <t>b_mtanNmx</t>
  </si>
  <si>
    <t>b_ma0Nmx</t>
  </si>
  <si>
    <t>b_ma1Nmx</t>
  </si>
  <si>
    <t>b_ma2Nmx</t>
  </si>
  <si>
    <t>b_ma3Nmx</t>
  </si>
  <si>
    <t>b_ma4Nmx</t>
  </si>
  <si>
    <t>b_met1Nmx</t>
  </si>
  <si>
    <t>b_met2Nmx</t>
  </si>
  <si>
    <t>b_Km0</t>
  </si>
  <si>
    <t>b_atKm</t>
  </si>
  <si>
    <t>b_wsKm</t>
  </si>
  <si>
    <t>b_mt1Km</t>
  </si>
  <si>
    <t>b_mdmKm</t>
  </si>
  <si>
    <t>b_mtanKm</t>
  </si>
  <si>
    <t>b_mrKm</t>
  </si>
  <si>
    <t>b_met1Km</t>
  </si>
  <si>
    <t>b_met2Km</t>
  </si>
  <si>
    <t>Approximate 95% Confidence Limits</t>
  </si>
  <si>
    <t>b_mrNmx</t>
  </si>
  <si>
    <t>b_mi0Nmx</t>
  </si>
  <si>
    <t>Not estimated, fixed to zero due to insignificance</t>
  </si>
  <si>
    <t>b_sm1Km</t>
  </si>
  <si>
    <t>b_ma0Km</t>
  </si>
  <si>
    <t>b_ma1Km</t>
  </si>
  <si>
    <t>b_ma2Km</t>
  </si>
  <si>
    <t>b_ma3Km</t>
  </si>
  <si>
    <t>b_ma4Km</t>
  </si>
  <si>
    <t>b_mi0Km</t>
  </si>
  <si>
    <t>Example variable values:</t>
  </si>
  <si>
    <t>Value</t>
  </si>
  <si>
    <t>Variable</t>
  </si>
  <si>
    <t>I_SM1</t>
  </si>
  <si>
    <t>AirTemp</t>
  </si>
  <si>
    <t>WindSpeed</t>
  </si>
  <si>
    <t>I_MT1</t>
  </si>
  <si>
    <t>ManureDM</t>
  </si>
  <si>
    <t>ManureTAN</t>
  </si>
  <si>
    <t>I_MA0</t>
  </si>
  <si>
    <t>I_MA1</t>
  </si>
  <si>
    <t>I_MA2</t>
  </si>
  <si>
    <t>I_MA3</t>
  </si>
  <si>
    <t>I_MA4</t>
  </si>
  <si>
    <t>ManureRate</t>
  </si>
  <si>
    <t>I_MI0</t>
  </si>
  <si>
    <t>I_MeT1</t>
  </si>
  <si>
    <t>I_MeT2</t>
  </si>
  <si>
    <t>Results:</t>
  </si>
  <si>
    <t>Nmax</t>
  </si>
  <si>
    <t>Km</t>
  </si>
  <si>
    <t>t</t>
  </si>
  <si>
    <t>dt</t>
  </si>
  <si>
    <t>Rel. Loss Rate</t>
  </si>
  <si>
    <t>Time</t>
  </si>
  <si>
    <t>Cumlated relative loss:</t>
  </si>
  <si>
    <t>= 1 if SoilMoist = 1 (SoilMoist = 2 is ref.)</t>
  </si>
  <si>
    <t>= 1 if ManureType = 1 (ManureType = 2 is ref.)</t>
  </si>
  <si>
    <t>= 1 if ManureAppl = 0 (ManureAppl = 5 is ref.)</t>
  </si>
  <si>
    <t>= 1 if ManureAppl = 1 (ManureAppl = 5 is ref.)</t>
  </si>
  <si>
    <t>= 1 if ManureAppl = 2 (ManureAppl = 5 is ref.)</t>
  </si>
  <si>
    <t>= 1 if ManureAppl = 3 (ManureAppl = 5 is ref.)</t>
  </si>
  <si>
    <t>= 1 if ManureAppl = 4 (ManureAppl = 5 is ref.)</t>
  </si>
  <si>
    <t>= 1 if ManureInc = 0 (ManureInc = 2 is ref.)</t>
  </si>
  <si>
    <t>= 1 if MeasTech = 1 (MeasTech = 3 is ref.)</t>
  </si>
  <si>
    <t>= 1 if MeasTech = 2 (MeasTech = 3 is ref.)</t>
  </si>
  <si>
    <t>Cumulated Loss</t>
  </si>
  <si>
    <t>Relative</t>
  </si>
  <si>
    <t>Absolute</t>
  </si>
  <si>
    <t>Model calculations for the MULTIPLICATIVE model estimated by SAS</t>
  </si>
  <si>
    <t>Nmax ref line</t>
  </si>
  <si>
    <t>Km ref lines</t>
  </si>
  <si>
    <t>Soil moisture</t>
  </si>
  <si>
    <t>Air temperature</t>
  </si>
  <si>
    <t>Wind speed</t>
  </si>
  <si>
    <t>DM%</t>
  </si>
  <si>
    <t>TAN</t>
  </si>
  <si>
    <t>Application technique</t>
  </si>
  <si>
    <t>Application rate</t>
  </si>
  <si>
    <t>Measuring technique</t>
  </si>
  <si>
    <t>Dry</t>
  </si>
  <si>
    <t>Wet</t>
  </si>
  <si>
    <t>°C</t>
  </si>
  <si>
    <t>m/s</t>
  </si>
  <si>
    <t>Cattle</t>
  </si>
  <si>
    <t>Pig</t>
  </si>
  <si>
    <t>%</t>
  </si>
  <si>
    <t>g N/kg</t>
  </si>
  <si>
    <t>t/ha</t>
  </si>
  <si>
    <t>No</t>
  </si>
  <si>
    <t>Shallow cultivation</t>
  </si>
  <si>
    <r>
      <t>N</t>
    </r>
    <r>
      <rPr>
        <vertAlign val="subscript"/>
        <sz val="20"/>
        <color indexed="12"/>
        <rFont val="Times New Roman"/>
        <family val="1"/>
      </rPr>
      <t>max</t>
    </r>
  </si>
  <si>
    <r>
      <t>K</t>
    </r>
    <r>
      <rPr>
        <i/>
        <vertAlign val="subscript"/>
        <sz val="20"/>
        <color indexed="12"/>
        <rFont val="Times New Roman"/>
        <family val="1"/>
      </rPr>
      <t>m</t>
    </r>
  </si>
  <si>
    <t>h</t>
  </si>
  <si>
    <t>Slurry type</t>
  </si>
  <si>
    <t>Slurry incorporation</t>
  </si>
  <si>
    <t>This is a prototype model presented at the NJF Seminar "Sustainable Handling and Utilization of Livestock Manure from Animals to Plants", Horsens, DK, 16-19 January 2001 by H.T. Søgaard et al. The model can be used freely without any charge but the authors disclaim all responsibility for the results derived by the model.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</si>
</sst>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  <numFmt numFmtId="170" formatCode="0.00000"/>
    <numFmt numFmtId="171" formatCode="0.000"/>
    <numFmt numFmtId="172" formatCode="0.0000"/>
    <numFmt numFmtId="173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39"/>
      <name val="Arial"/>
      <family val="2"/>
    </font>
    <font>
      <sz val="16"/>
      <color indexed="39"/>
      <name val="Arial"/>
      <family val="2"/>
    </font>
    <font>
      <i/>
      <sz val="20"/>
      <color indexed="12"/>
      <name val="Times New Roman"/>
      <family val="1"/>
    </font>
    <font>
      <vertAlign val="subscript"/>
      <sz val="20"/>
      <color indexed="12"/>
      <name val="Times New Roman"/>
      <family val="1"/>
    </font>
    <font>
      <sz val="20"/>
      <color indexed="12"/>
      <name val="Arial"/>
      <family val="0"/>
    </font>
    <font>
      <sz val="20"/>
      <color indexed="12"/>
      <name val="Times New Roman"/>
      <family val="1"/>
    </font>
    <font>
      <i/>
      <vertAlign val="subscript"/>
      <sz val="20"/>
      <color indexed="12"/>
      <name val="Times New Roman"/>
      <family val="1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.5"/>
      <color indexed="12"/>
      <name val="Arial"/>
      <family val="0"/>
    </font>
    <font>
      <sz val="19.5"/>
      <color indexed="12"/>
      <name val="Arial"/>
      <family val="0"/>
    </font>
    <font>
      <b/>
      <sz val="19.5"/>
      <color indexed="12"/>
      <name val="Arial"/>
      <family val="0"/>
    </font>
    <font>
      <sz val="22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 quotePrefix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center"/>
    </xf>
    <xf numFmtId="0" fontId="10" fillId="33" borderId="10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"/>
          <c:w val="0.9225"/>
          <c:h val="0.92975"/>
        </c:manualLayout>
      </c:layout>
      <c:scatterChart>
        <c:scatterStyle val="line"/>
        <c:varyColors val="0"/>
        <c:ser>
          <c:idx val="0"/>
          <c:order val="0"/>
          <c:tx>
            <c:strRef>
              <c:f>'P19'!$J$36</c:f>
              <c:strCache>
                <c:ptCount val="1"/>
                <c:pt idx="0">
                  <c:v>Absolute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'P19'!$H$37:$H$52</c:f>
              <c:numCache/>
            </c:numRef>
          </c:xVal>
          <c:yVal>
            <c:numRef>
              <c:f>'P19'!$J$37:$J$52</c:f>
              <c:numCache/>
            </c:numRef>
          </c:yVal>
          <c:smooth val="0"/>
        </c:ser>
        <c:axId val="1499082"/>
        <c:axId val="13491739"/>
      </c:scatterChart>
      <c:valAx>
        <c:axId val="1499082"/>
        <c:scaling>
          <c:orientation val="minMax"/>
          <c:max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3491739"/>
        <c:crosses val="autoZero"/>
        <c:crossBetween val="midCat"/>
        <c:dispUnits/>
        <c:majorUnit val="25"/>
      </c:valAx>
      <c:valAx>
        <c:axId val="13491739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Cumulated ammonia loss
kg N/ha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499082"/>
        <c:crosses val="autoZero"/>
        <c:crossBetween val="midCat"/>
        <c:dispUnits/>
        <c:minorUnit val="0.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50" b="0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"/>
          <c:w val="0.94125"/>
          <c:h val="0.917"/>
        </c:manualLayout>
      </c:layout>
      <c:scatterChart>
        <c:scatterStyle val="lineMarker"/>
        <c:varyColors val="0"/>
        <c:ser>
          <c:idx val="0"/>
          <c:order val="0"/>
          <c:tx>
            <c:strRef>
              <c:f>'P19'!$I$36</c:f>
              <c:strCache>
                <c:ptCount val="1"/>
                <c:pt idx="0">
                  <c:v>Relative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'P19'!$H$37:$H$52</c:f>
              <c:numCache/>
            </c:numRef>
          </c:xVal>
          <c:yVal>
            <c:numRef>
              <c:f>'P19'!$I$37:$I$52</c:f>
              <c:numCache/>
            </c:numRef>
          </c:yVal>
          <c:smooth val="0"/>
        </c:ser>
        <c:ser>
          <c:idx val="1"/>
          <c:order val="1"/>
          <c:tx>
            <c:strRef>
              <c:f>'P19'!$H$55</c:f>
              <c:strCache>
                <c:ptCount val="1"/>
                <c:pt idx="0">
                  <c:v>Nmax ref line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'P19'!$H$56:$H$57</c:f>
              <c:numCache/>
            </c:numRef>
          </c:xVal>
          <c:yVal>
            <c:numRef>
              <c:f>'P19'!$I$56:$I$57</c:f>
              <c:numCache/>
            </c:numRef>
          </c:yVal>
          <c:smooth val="0"/>
        </c:ser>
        <c:ser>
          <c:idx val="2"/>
          <c:order val="2"/>
          <c:tx>
            <c:strRef>
              <c:f>'P19'!$H$59</c:f>
              <c:strCache>
                <c:ptCount val="1"/>
                <c:pt idx="0">
                  <c:v>Km ref lines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'P19'!$H$60:$H$62</c:f>
              <c:numCache/>
            </c:numRef>
          </c:xVal>
          <c:yVal>
            <c:numRef>
              <c:f>'P19'!$I$60:$I$62</c:f>
              <c:numCache/>
            </c:numRef>
          </c:yVal>
          <c:smooth val="0"/>
        </c:ser>
        <c:axId val="54316788"/>
        <c:axId val="19089045"/>
      </c:scatterChart>
      <c:valAx>
        <c:axId val="54316788"/>
        <c:scaling>
          <c:orientation val="minMax"/>
          <c:max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9089045"/>
        <c:crosses val="autoZero"/>
        <c:crossBetween val="midCat"/>
        <c:dispUnits/>
        <c:majorUnit val="25"/>
      </c:valAx>
      <c:valAx>
        <c:axId val="1908904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Cumulated ammonia loss
% of TAN applied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4316788"/>
        <c:crosses val="autoZero"/>
        <c:crossBetween val="midCat"/>
        <c:dispUnits/>
        <c:min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00" b="0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13.emf" /><Relationship Id="rId6" Type="http://schemas.openxmlformats.org/officeDocument/2006/relationships/image" Target="../media/image1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2.emf" /><Relationship Id="rId11" Type="http://schemas.openxmlformats.org/officeDocument/2006/relationships/image" Target="../media/image4.emf" /><Relationship Id="rId12" Type="http://schemas.openxmlformats.org/officeDocument/2006/relationships/image" Target="../media/image11.emf" /><Relationship Id="rId13" Type="http://schemas.openxmlformats.org/officeDocument/2006/relationships/image" Target="../media/image10.emf" /><Relationship Id="rId14" Type="http://schemas.openxmlformats.org/officeDocument/2006/relationships/image" Target="../media/image5.emf" /><Relationship Id="rId1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45</xdr:row>
      <xdr:rowOff>123825</xdr:rowOff>
    </xdr:from>
    <xdr:to>
      <xdr:col>25</xdr:col>
      <xdr:colOff>504825</xdr:colOff>
      <xdr:row>67</xdr:row>
      <xdr:rowOff>19050</xdr:rowOff>
    </xdr:to>
    <xdr:graphicFrame>
      <xdr:nvGraphicFramePr>
        <xdr:cNvPr id="1" name="Chart 7"/>
        <xdr:cNvGraphicFramePr/>
      </xdr:nvGraphicFramePr>
      <xdr:xfrm>
        <a:off x="7000875" y="9277350"/>
        <a:ext cx="79724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85725</xdr:colOff>
      <xdr:row>24</xdr:row>
      <xdr:rowOff>0</xdr:rowOff>
    </xdr:from>
    <xdr:to>
      <xdr:col>25</xdr:col>
      <xdr:colOff>504825</xdr:colOff>
      <xdr:row>45</xdr:row>
      <xdr:rowOff>28575</xdr:rowOff>
    </xdr:to>
    <xdr:graphicFrame>
      <xdr:nvGraphicFramePr>
        <xdr:cNvPr id="2" name="Chart 4"/>
        <xdr:cNvGraphicFramePr/>
      </xdr:nvGraphicFramePr>
      <xdr:xfrm>
        <a:off x="6981825" y="3924300"/>
        <a:ext cx="7991475" cy="525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0</xdr:colOff>
      <xdr:row>25</xdr:row>
      <xdr:rowOff>0</xdr:rowOff>
    </xdr:from>
    <xdr:to>
      <xdr:col>27</xdr:col>
      <xdr:colOff>171450</xdr:colOff>
      <xdr:row>26</xdr:row>
      <xdr:rowOff>9525</xdr:rowOff>
    </xdr:to>
    <xdr:grpSp>
      <xdr:nvGrpSpPr>
        <xdr:cNvPr id="3" name="Group 45"/>
        <xdr:cNvGrpSpPr>
          <a:grpSpLocks/>
        </xdr:cNvGrpSpPr>
      </xdr:nvGrpSpPr>
      <xdr:grpSpPr>
        <a:xfrm>
          <a:off x="15059025" y="4219575"/>
          <a:ext cx="990600" cy="323850"/>
          <a:chOff x="2039" y="570"/>
          <a:chExt cx="134" cy="42"/>
        </a:xfrm>
        <a:solidFill>
          <a:srgbClr val="FFFFFF"/>
        </a:solidFill>
      </xdr:grpSpPr>
      <xdr:pic>
        <xdr:nvPicPr>
          <xdr:cNvPr id="4" name="OptionButton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039" y="570"/>
            <a:ext cx="30" cy="4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ionButton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143" y="570"/>
            <a:ext cx="30" cy="4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26</xdr:col>
      <xdr:colOff>0</xdr:colOff>
      <xdr:row>30</xdr:row>
      <xdr:rowOff>0</xdr:rowOff>
    </xdr:from>
    <xdr:to>
      <xdr:col>28</xdr:col>
      <xdr:colOff>19050</xdr:colOff>
      <xdr:row>30</xdr:row>
      <xdr:rowOff>285750</xdr:rowOff>
    </xdr:to>
    <xdr:pic>
      <xdr:nvPicPr>
        <xdr:cNvPr id="6" name="ScrollBar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059025" y="5638800"/>
          <a:ext cx="17240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34</xdr:row>
      <xdr:rowOff>0</xdr:rowOff>
    </xdr:from>
    <xdr:to>
      <xdr:col>28</xdr:col>
      <xdr:colOff>76200</xdr:colOff>
      <xdr:row>34</xdr:row>
      <xdr:rowOff>285750</xdr:rowOff>
    </xdr:to>
    <xdr:pic>
      <xdr:nvPicPr>
        <xdr:cNvPr id="7" name="ScrollBar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059025" y="6572250"/>
          <a:ext cx="1781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9525</xdr:colOff>
      <xdr:row>38</xdr:row>
      <xdr:rowOff>0</xdr:rowOff>
    </xdr:from>
    <xdr:to>
      <xdr:col>27</xdr:col>
      <xdr:colOff>180975</xdr:colOff>
      <xdr:row>39</xdr:row>
      <xdr:rowOff>0</xdr:rowOff>
    </xdr:to>
    <xdr:grpSp>
      <xdr:nvGrpSpPr>
        <xdr:cNvPr id="8" name="Group 46"/>
        <xdr:cNvGrpSpPr>
          <a:grpSpLocks/>
        </xdr:cNvGrpSpPr>
      </xdr:nvGrpSpPr>
      <xdr:grpSpPr>
        <a:xfrm>
          <a:off x="15068550" y="7496175"/>
          <a:ext cx="990600" cy="314325"/>
          <a:chOff x="2040" y="999"/>
          <a:chExt cx="134" cy="41"/>
        </a:xfrm>
        <a:solidFill>
          <a:srgbClr val="FFFFFF"/>
        </a:solidFill>
      </xdr:grpSpPr>
      <xdr:pic>
        <xdr:nvPicPr>
          <xdr:cNvPr id="9" name="OptionButton3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040" y="999"/>
            <a:ext cx="30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OptionButton4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144" y="999"/>
            <a:ext cx="30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26</xdr:col>
      <xdr:colOff>0</xdr:colOff>
      <xdr:row>43</xdr:row>
      <xdr:rowOff>0</xdr:rowOff>
    </xdr:from>
    <xdr:to>
      <xdr:col>28</xdr:col>
      <xdr:colOff>19050</xdr:colOff>
      <xdr:row>43</xdr:row>
      <xdr:rowOff>285750</xdr:rowOff>
    </xdr:to>
    <xdr:pic>
      <xdr:nvPicPr>
        <xdr:cNvPr id="11" name="ScrollBar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059025" y="8677275"/>
          <a:ext cx="17240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47</xdr:row>
      <xdr:rowOff>0</xdr:rowOff>
    </xdr:from>
    <xdr:to>
      <xdr:col>28</xdr:col>
      <xdr:colOff>19050</xdr:colOff>
      <xdr:row>47</xdr:row>
      <xdr:rowOff>285750</xdr:rowOff>
    </xdr:to>
    <xdr:pic>
      <xdr:nvPicPr>
        <xdr:cNvPr id="12" name="ScrollBar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059025" y="9610725"/>
          <a:ext cx="17240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51</xdr:row>
      <xdr:rowOff>0</xdr:rowOff>
    </xdr:from>
    <xdr:to>
      <xdr:col>28</xdr:col>
      <xdr:colOff>19050</xdr:colOff>
      <xdr:row>52</xdr:row>
      <xdr:rowOff>0</xdr:rowOff>
    </xdr:to>
    <xdr:pic>
      <xdr:nvPicPr>
        <xdr:cNvPr id="13" name="ScrollBar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059025" y="10544175"/>
          <a:ext cx="1724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56</xdr:row>
      <xdr:rowOff>0</xdr:rowOff>
    </xdr:from>
    <xdr:to>
      <xdr:col>28</xdr:col>
      <xdr:colOff>19050</xdr:colOff>
      <xdr:row>56</xdr:row>
      <xdr:rowOff>285750</xdr:rowOff>
    </xdr:to>
    <xdr:pic>
      <xdr:nvPicPr>
        <xdr:cNvPr id="14" name="ScrollBar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059025" y="11734800"/>
          <a:ext cx="17240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9525</xdr:colOff>
      <xdr:row>60</xdr:row>
      <xdr:rowOff>0</xdr:rowOff>
    </xdr:from>
    <xdr:to>
      <xdr:col>27</xdr:col>
      <xdr:colOff>180975</xdr:colOff>
      <xdr:row>61</xdr:row>
      <xdr:rowOff>19050</xdr:rowOff>
    </xdr:to>
    <xdr:grpSp>
      <xdr:nvGrpSpPr>
        <xdr:cNvPr id="15" name="Group 47"/>
        <xdr:cNvGrpSpPr>
          <a:grpSpLocks/>
        </xdr:cNvGrpSpPr>
      </xdr:nvGrpSpPr>
      <xdr:grpSpPr>
        <a:xfrm>
          <a:off x="15068550" y="12668250"/>
          <a:ext cx="990600" cy="333375"/>
          <a:chOff x="2040" y="1682"/>
          <a:chExt cx="134" cy="43"/>
        </a:xfrm>
        <a:solidFill>
          <a:srgbClr val="FFFFFF"/>
        </a:solidFill>
      </xdr:grpSpPr>
      <xdr:pic>
        <xdr:nvPicPr>
          <xdr:cNvPr id="16" name="OptionButton5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040" y="1682"/>
            <a:ext cx="30" cy="4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OptionButton6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144" y="1682"/>
            <a:ext cx="30" cy="4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26</xdr:col>
      <xdr:colOff>0</xdr:colOff>
      <xdr:row>65</xdr:row>
      <xdr:rowOff>0</xdr:rowOff>
    </xdr:from>
    <xdr:to>
      <xdr:col>28</xdr:col>
      <xdr:colOff>19050</xdr:colOff>
      <xdr:row>66</xdr:row>
      <xdr:rowOff>0</xdr:rowOff>
    </xdr:to>
    <xdr:pic>
      <xdr:nvPicPr>
        <xdr:cNvPr id="18" name="ScrollBar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5059025" y="13858875"/>
          <a:ext cx="1724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67"/>
  <sheetViews>
    <sheetView tabSelected="1" zoomScale="60" zoomScaleNormal="60" zoomScalePageLayoutView="0" workbookViewId="0" topLeftCell="A24">
      <selection activeCell="AI52" sqref="AI52"/>
    </sheetView>
  </sheetViews>
  <sheetFormatPr defaultColWidth="8.8515625" defaultRowHeight="12.75"/>
  <cols>
    <col min="1" max="1" width="10.28125" style="2" customWidth="1"/>
    <col min="2" max="3" width="8.8515625" style="2" customWidth="1"/>
    <col min="4" max="4" width="10.28125" style="2" customWidth="1"/>
    <col min="5" max="7" width="8.8515625" style="2" customWidth="1"/>
    <col min="8" max="8" width="12.00390625" style="2" customWidth="1"/>
    <col min="9" max="17" width="8.8515625" style="2" customWidth="1"/>
    <col min="18" max="18" width="3.57421875" style="2" customWidth="1"/>
    <col min="19" max="22" width="8.8515625" style="2" customWidth="1"/>
    <col min="23" max="23" width="3.7109375" style="2" customWidth="1"/>
    <col min="24" max="26" width="8.8515625" style="2" customWidth="1"/>
    <col min="27" max="27" width="12.28125" style="2" customWidth="1"/>
    <col min="28" max="28" width="13.28125" style="2" customWidth="1"/>
    <col min="29" max="29" width="6.28125" style="2" customWidth="1"/>
    <col min="30" max="30" width="8.8515625" style="2" customWidth="1"/>
    <col min="31" max="31" width="3.28125" style="2" customWidth="1"/>
    <col min="32" max="32" width="8.8515625" style="2" customWidth="1"/>
    <col min="33" max="33" width="10.57421875" style="2" customWidth="1"/>
    <col min="34" max="34" width="3.28125" style="2" customWidth="1"/>
    <col min="35" max="16384" width="8.8515625" style="2" customWidth="1"/>
  </cols>
  <sheetData>
    <row r="1" ht="15.75">
      <c r="A1" s="1" t="s">
        <v>78</v>
      </c>
    </row>
    <row r="3" spans="1:8" ht="12.75">
      <c r="A3" s="3" t="s">
        <v>0</v>
      </c>
      <c r="H3" s="3" t="s">
        <v>39</v>
      </c>
    </row>
    <row r="5" ht="12.75">
      <c r="C5" s="2" t="s">
        <v>1</v>
      </c>
    </row>
    <row r="6" spans="1:9" ht="12.75">
      <c r="A6" s="2" t="s">
        <v>2</v>
      </c>
      <c r="B6" s="2" t="s">
        <v>3</v>
      </c>
      <c r="C6" s="2" t="s">
        <v>4</v>
      </c>
      <c r="D6" s="2" t="s">
        <v>28</v>
      </c>
      <c r="H6" s="2" t="s">
        <v>41</v>
      </c>
      <c r="I6" s="2" t="s">
        <v>40</v>
      </c>
    </row>
    <row r="7" spans="1:16" ht="12.75">
      <c r="A7" s="2" t="s">
        <v>5</v>
      </c>
      <c r="B7" s="2">
        <v>-6.5757</v>
      </c>
      <c r="C7" s="2">
        <v>1.046</v>
      </c>
      <c r="D7" s="2">
        <v>-8.627</v>
      </c>
      <c r="E7" s="2">
        <v>-4.5245</v>
      </c>
      <c r="H7" s="2" t="s">
        <v>42</v>
      </c>
      <c r="I7" s="2">
        <f>IF(P7,1,0)</f>
        <v>1</v>
      </c>
      <c r="K7" s="4" t="s">
        <v>65</v>
      </c>
      <c r="P7" s="2" t="b">
        <v>1</v>
      </c>
    </row>
    <row r="8" spans="1:16" ht="12.75">
      <c r="A8" s="2" t="s">
        <v>6</v>
      </c>
      <c r="B8" s="2">
        <v>0.0971</v>
      </c>
      <c r="C8" s="2">
        <v>0.0355</v>
      </c>
      <c r="D8" s="2">
        <v>0.0275</v>
      </c>
      <c r="E8" s="2">
        <v>0.1667</v>
      </c>
      <c r="H8" s="2" t="s">
        <v>43</v>
      </c>
      <c r="I8" s="2">
        <f>P8-6</f>
        <v>10</v>
      </c>
      <c r="P8" s="2">
        <v>16</v>
      </c>
    </row>
    <row r="9" spans="1:9" ht="12.75">
      <c r="A9" s="2" t="s">
        <v>7</v>
      </c>
      <c r="B9" s="2">
        <v>0.0221</v>
      </c>
      <c r="C9" s="2">
        <v>0.00245</v>
      </c>
      <c r="D9" s="2">
        <v>0.0173</v>
      </c>
      <c r="E9" s="2">
        <v>0.0269</v>
      </c>
      <c r="H9" s="2" t="s">
        <v>44</v>
      </c>
      <c r="I9" s="2">
        <v>2</v>
      </c>
    </row>
    <row r="10" spans="1:16" ht="12.75">
      <c r="A10" s="2" t="s">
        <v>8</v>
      </c>
      <c r="B10" s="2">
        <v>0.0409</v>
      </c>
      <c r="C10" s="2">
        <v>0.0119</v>
      </c>
      <c r="D10" s="2">
        <v>0.0176</v>
      </c>
      <c r="E10" s="2">
        <v>0.0641</v>
      </c>
      <c r="H10" s="2" t="s">
        <v>45</v>
      </c>
      <c r="I10" s="2">
        <f>IF(P10,1,0)</f>
        <v>1</v>
      </c>
      <c r="K10" s="4" t="s">
        <v>66</v>
      </c>
      <c r="P10" s="2" t="b">
        <v>1</v>
      </c>
    </row>
    <row r="11" spans="1:9" ht="12.75">
      <c r="A11" s="2" t="s">
        <v>9</v>
      </c>
      <c r="B11" s="2">
        <v>-0.156</v>
      </c>
      <c r="C11" s="2">
        <v>0.0518</v>
      </c>
      <c r="D11" s="2">
        <v>-0.2575</v>
      </c>
      <c r="E11" s="2">
        <v>-0.0545</v>
      </c>
      <c r="H11" s="2" t="s">
        <v>46</v>
      </c>
      <c r="I11" s="2">
        <v>3</v>
      </c>
    </row>
    <row r="12" spans="1:16" ht="12.75">
      <c r="A12" s="2" t="s">
        <v>10</v>
      </c>
      <c r="B12" s="2">
        <v>0.1024</v>
      </c>
      <c r="C12" s="2">
        <v>0.00985</v>
      </c>
      <c r="D12" s="2">
        <v>0.0831</v>
      </c>
      <c r="E12" s="2">
        <v>0.1217</v>
      </c>
      <c r="H12" s="2" t="s">
        <v>47</v>
      </c>
      <c r="I12" s="2">
        <f>P12/10</f>
        <v>2.5</v>
      </c>
      <c r="P12" s="2">
        <v>25</v>
      </c>
    </row>
    <row r="13" spans="1:16" ht="12.75">
      <c r="A13" s="2" t="s">
        <v>11</v>
      </c>
      <c r="B13" s="2">
        <v>-0.1888</v>
      </c>
      <c r="C13" s="2">
        <v>0.0265</v>
      </c>
      <c r="D13" s="2">
        <v>-0.2407</v>
      </c>
      <c r="E13" s="2">
        <v>-0.1368</v>
      </c>
      <c r="H13" s="2" t="s">
        <v>48</v>
      </c>
      <c r="I13" s="2">
        <f>IF(P13=1,1,0)</f>
        <v>1</v>
      </c>
      <c r="K13" s="4" t="s">
        <v>67</v>
      </c>
      <c r="P13" s="2">
        <v>1</v>
      </c>
    </row>
    <row r="14" spans="1:11" ht="12.75">
      <c r="A14" s="2" t="s">
        <v>12</v>
      </c>
      <c r="B14" s="2">
        <v>3.5691</v>
      </c>
      <c r="C14" s="2">
        <v>0.4506</v>
      </c>
      <c r="D14" s="2">
        <v>2.6854</v>
      </c>
      <c r="E14" s="2">
        <v>4.4528</v>
      </c>
      <c r="H14" s="2" t="s">
        <v>49</v>
      </c>
      <c r="I14" s="2">
        <f>IF(P13=2,1,0)</f>
        <v>0</v>
      </c>
      <c r="K14" s="4" t="s">
        <v>68</v>
      </c>
    </row>
    <row r="15" spans="1:11" ht="12.75">
      <c r="A15" s="2" t="s">
        <v>13</v>
      </c>
      <c r="B15" s="2">
        <v>3.0198</v>
      </c>
      <c r="C15" s="2">
        <v>0.4554</v>
      </c>
      <c r="D15" s="2">
        <v>2.1266</v>
      </c>
      <c r="E15" s="2">
        <v>3.9129</v>
      </c>
      <c r="H15" s="2" t="s">
        <v>50</v>
      </c>
      <c r="I15" s="2">
        <f>IF(P13=3,1,0)</f>
        <v>0</v>
      </c>
      <c r="K15" s="4" t="s">
        <v>69</v>
      </c>
    </row>
    <row r="16" spans="1:11" ht="12.75">
      <c r="A16" s="2" t="s">
        <v>14</v>
      </c>
      <c r="B16" s="2">
        <v>3.1592</v>
      </c>
      <c r="C16" s="2">
        <v>0.6544</v>
      </c>
      <c r="D16" s="2">
        <v>1.8759</v>
      </c>
      <c r="E16" s="2">
        <v>4.4425</v>
      </c>
      <c r="H16" s="2" t="s">
        <v>51</v>
      </c>
      <c r="I16" s="2">
        <f>IF(P13=4,1,0)</f>
        <v>0</v>
      </c>
      <c r="K16" s="4" t="s">
        <v>70</v>
      </c>
    </row>
    <row r="17" spans="1:11" ht="12.75">
      <c r="A17" s="2" t="s">
        <v>15</v>
      </c>
      <c r="B17" s="2">
        <v>2.2702</v>
      </c>
      <c r="C17" s="2">
        <v>0.4784</v>
      </c>
      <c r="D17" s="2">
        <v>1.332</v>
      </c>
      <c r="E17" s="2">
        <v>3.2084</v>
      </c>
      <c r="H17" s="2" t="s">
        <v>52</v>
      </c>
      <c r="I17" s="2">
        <f>IF(P13=5,1,0)</f>
        <v>0</v>
      </c>
      <c r="K17" s="4" t="s">
        <v>71</v>
      </c>
    </row>
    <row r="18" spans="1:9" ht="12.75">
      <c r="A18" s="2" t="s">
        <v>16</v>
      </c>
      <c r="B18" s="2">
        <v>2.9582</v>
      </c>
      <c r="C18" s="2">
        <v>0.5194</v>
      </c>
      <c r="D18" s="2">
        <v>1.9396</v>
      </c>
      <c r="E18" s="2">
        <v>3.9768</v>
      </c>
      <c r="H18" s="2" t="s">
        <v>53</v>
      </c>
      <c r="I18" s="2">
        <v>30</v>
      </c>
    </row>
    <row r="19" spans="1:16" ht="12.75">
      <c r="A19" s="2" t="s">
        <v>29</v>
      </c>
      <c r="B19" s="2">
        <v>-0.00433</v>
      </c>
      <c r="C19" s="2">
        <v>0.00127</v>
      </c>
      <c r="D19" s="2">
        <v>-0.00682</v>
      </c>
      <c r="E19" s="2">
        <v>-0.00184</v>
      </c>
      <c r="H19" s="2" t="s">
        <v>54</v>
      </c>
      <c r="I19" s="2">
        <f>IF(P19,1,0)</f>
        <v>1</v>
      </c>
      <c r="K19" s="4" t="s">
        <v>72</v>
      </c>
      <c r="P19" s="2" t="b">
        <v>1</v>
      </c>
    </row>
    <row r="20" spans="1:16" ht="12.75">
      <c r="A20" s="2" t="s">
        <v>30</v>
      </c>
      <c r="B20" s="2">
        <v>2.4291</v>
      </c>
      <c r="C20" s="2">
        <v>0.942</v>
      </c>
      <c r="D20" s="2">
        <v>0.5818</v>
      </c>
      <c r="E20" s="2">
        <v>4.2765</v>
      </c>
      <c r="H20" s="2" t="s">
        <v>55</v>
      </c>
      <c r="I20" s="2">
        <f>IF(P20=1,1,0)</f>
        <v>0</v>
      </c>
      <c r="K20" s="4" t="s">
        <v>73</v>
      </c>
      <c r="P20" s="2">
        <v>2</v>
      </c>
    </row>
    <row r="21" spans="1:11" ht="12.75">
      <c r="A21" s="2" t="s">
        <v>17</v>
      </c>
      <c r="B21" s="2">
        <v>-0.6382</v>
      </c>
      <c r="C21" s="2">
        <v>0.0977</v>
      </c>
      <c r="D21" s="2">
        <v>-0.8298</v>
      </c>
      <c r="E21" s="2">
        <v>-0.4466</v>
      </c>
      <c r="H21" s="2" t="s">
        <v>56</v>
      </c>
      <c r="I21" s="2">
        <f>IF(P20=2,1,0)</f>
        <v>1</v>
      </c>
      <c r="K21" s="4" t="s">
        <v>74</v>
      </c>
    </row>
    <row r="22" spans="1:9" ht="12.75">
      <c r="A22" s="2" t="s">
        <v>18</v>
      </c>
      <c r="B22" s="2">
        <v>-0.5485</v>
      </c>
      <c r="C22" s="2">
        <v>0.1054</v>
      </c>
      <c r="D22" s="2">
        <v>-0.7553</v>
      </c>
      <c r="E22" s="2">
        <v>-0.3418</v>
      </c>
      <c r="H22" s="2" t="s">
        <v>60</v>
      </c>
      <c r="I22" s="2">
        <v>0</v>
      </c>
    </row>
    <row r="23" spans="1:9" ht="12.75">
      <c r="A23" s="2" t="s">
        <v>19</v>
      </c>
      <c r="B23" s="2">
        <v>0.037</v>
      </c>
      <c r="C23" s="2">
        <v>0.274</v>
      </c>
      <c r="D23" s="2">
        <v>-0.5004</v>
      </c>
      <c r="E23" s="2">
        <v>0.5743</v>
      </c>
      <c r="H23" s="2" t="s">
        <v>61</v>
      </c>
      <c r="I23" s="2">
        <v>6</v>
      </c>
    </row>
    <row r="24" spans="1:5" ht="12.75">
      <c r="A24" s="2" t="s">
        <v>32</v>
      </c>
      <c r="B24" s="2">
        <v>0.0974</v>
      </c>
      <c r="C24" s="2">
        <v>0.0666</v>
      </c>
      <c r="D24" s="2">
        <v>-0.0331</v>
      </c>
      <c r="E24" s="2">
        <v>0.228</v>
      </c>
    </row>
    <row r="25" spans="1:35" ht="23.25">
      <c r="A25" s="2" t="s">
        <v>20</v>
      </c>
      <c r="B25" s="2">
        <v>-0.0409</v>
      </c>
      <c r="C25" s="2">
        <v>0.00467</v>
      </c>
      <c r="D25" s="2">
        <v>-0.0501</v>
      </c>
      <c r="E25" s="2">
        <v>-0.0318</v>
      </c>
      <c r="AA25" s="5" t="s">
        <v>81</v>
      </c>
      <c r="AE25" s="7"/>
      <c r="AF25" s="8"/>
      <c r="AG25" s="8"/>
      <c r="AH25" s="8"/>
      <c r="AI25" s="9"/>
    </row>
    <row r="26" spans="1:35" ht="24.75" customHeight="1">
      <c r="A26" s="2" t="s">
        <v>21</v>
      </c>
      <c r="B26" s="2">
        <v>-0.0517</v>
      </c>
      <c r="C26" s="2">
        <v>0.0203</v>
      </c>
      <c r="D26" s="2">
        <v>-0.0914</v>
      </c>
      <c r="E26" s="2">
        <v>-0.012</v>
      </c>
      <c r="H26" s="3" t="s">
        <v>57</v>
      </c>
      <c r="AE26" s="10"/>
      <c r="AF26" s="15" t="s">
        <v>100</v>
      </c>
      <c r="AG26" s="16">
        <f>100*Nmax</f>
        <v>30.826360551129184</v>
      </c>
      <c r="AH26" s="16" t="s">
        <v>95</v>
      </c>
      <c r="AI26" s="11"/>
    </row>
    <row r="27" spans="1:35" ht="26.25">
      <c r="A27" s="2" t="s">
        <v>22</v>
      </c>
      <c r="B27" s="2">
        <v>1.3567</v>
      </c>
      <c r="C27" s="2">
        <v>0.1018</v>
      </c>
      <c r="D27" s="2">
        <v>1.1571</v>
      </c>
      <c r="E27" s="2">
        <v>1.5563</v>
      </c>
      <c r="AA27" s="6" t="s">
        <v>89</v>
      </c>
      <c r="AB27" s="6" t="s">
        <v>90</v>
      </c>
      <c r="AE27" s="10"/>
      <c r="AF27" s="17"/>
      <c r="AG27" s="16"/>
      <c r="AH27" s="18"/>
      <c r="AI27" s="11"/>
    </row>
    <row r="28" spans="1:35" ht="29.25">
      <c r="A28" s="2" t="s">
        <v>23</v>
      </c>
      <c r="B28" s="2">
        <v>0.1614</v>
      </c>
      <c r="C28" s="2">
        <v>0.0181</v>
      </c>
      <c r="D28" s="2">
        <v>0.1258</v>
      </c>
      <c r="E28" s="2">
        <v>0.1969</v>
      </c>
      <c r="H28" s="2" t="s">
        <v>58</v>
      </c>
      <c r="I28" s="2">
        <f>EXP(b_Nmx0+b_sm1Nmx*I_SM1+b_atNmx*AirTemp+b_wsNmx*WindSpeed+b_mt1Nmx*I_MT1+b_mdmNmx*ManureDM+b_mtanNmx*ManureTAN+b_ma0Nmx*I_MA0+b_ma1Nmx*I_MA1+b_ma2Nmx*I_MA2+b_ma3Nmx*I_MA3+b_ma4Nmx*I_MA4+b_mrNmx*ManureRate+b_mi0Nmx*I_MI0+b_met1Nmx*I_MeT1+b_met2Nmx*I_MeT2)</f>
        <v>0.30826360551129184</v>
      </c>
      <c r="AE28" s="10"/>
      <c r="AF28" s="15" t="s">
        <v>101</v>
      </c>
      <c r="AG28" s="16">
        <f>Km</f>
        <v>18.973627715354525</v>
      </c>
      <c r="AH28" s="16" t="s">
        <v>102</v>
      </c>
      <c r="AI28" s="11"/>
    </row>
    <row r="29" spans="1:35" ht="8.25" customHeight="1">
      <c r="A29" s="2" t="s">
        <v>24</v>
      </c>
      <c r="B29" s="2">
        <v>0.1011</v>
      </c>
      <c r="C29" s="2">
        <v>0.0495</v>
      </c>
      <c r="D29" s="2">
        <v>0.00402</v>
      </c>
      <c r="E29" s="2">
        <v>0.1981</v>
      </c>
      <c r="H29" s="2" t="s">
        <v>59</v>
      </c>
      <c r="I29" s="2">
        <f>EXP(b_Km0+b_sm1Km*I_SM1+b_atKm*AirTemp+b_wsKm*WindSpeed+b_mt1Km*I_MT1+b_mdmKm*ManureDM+b_mtanKm*ManureTAN+b_ma0Km*I_MA0+b_ma1Km*I_MA1+b_ma2Km*I_MA2+b_ma3Km*I_MA3+b_ma4Km*I_MA4+b_mrKm*ManureRate+b_mi0Km*I_MI0+b_met1Km*I_MeT1+b_met2Km*I_MeT2)</f>
        <v>18.973627715354525</v>
      </c>
      <c r="AE29" s="12"/>
      <c r="AF29" s="13"/>
      <c r="AG29" s="13"/>
      <c r="AH29" s="13"/>
      <c r="AI29" s="14"/>
    </row>
    <row r="30" spans="1:27" ht="23.25">
      <c r="A30" s="2" t="s">
        <v>33</v>
      </c>
      <c r="B30" s="2">
        <v>0</v>
      </c>
      <c r="C30" s="2" t="s">
        <v>31</v>
      </c>
      <c r="H30" s="2" t="s">
        <v>62</v>
      </c>
      <c r="I30" s="2">
        <f>Nmax*Km/(22:22+Km)/(22:22+23:23+Km)</f>
        <v>0.0123435653412004</v>
      </c>
      <c r="AA30" s="5" t="s">
        <v>82</v>
      </c>
    </row>
    <row r="31" spans="1:30" ht="24.75" customHeight="1">
      <c r="A31" s="2" t="s">
        <v>34</v>
      </c>
      <c r="B31" s="2">
        <v>0</v>
      </c>
      <c r="C31" s="2" t="s">
        <v>31</v>
      </c>
      <c r="AC31" s="6">
        <f>I8</f>
        <v>10</v>
      </c>
      <c r="AD31" s="6" t="s">
        <v>91</v>
      </c>
    </row>
    <row r="32" spans="1:35" ht="12.75">
      <c r="A32" s="2" t="s">
        <v>35</v>
      </c>
      <c r="B32" s="2">
        <v>0</v>
      </c>
      <c r="C32" s="2" t="s">
        <v>31</v>
      </c>
      <c r="AE32" s="20" t="s">
        <v>105</v>
      </c>
      <c r="AF32" s="21"/>
      <c r="AG32" s="21"/>
      <c r="AH32" s="21"/>
      <c r="AI32" s="22"/>
    </row>
    <row r="33" spans="1:35" ht="12.75">
      <c r="A33" s="2" t="s">
        <v>36</v>
      </c>
      <c r="B33" s="2">
        <v>0</v>
      </c>
      <c r="C33" s="2" t="s">
        <v>31</v>
      </c>
      <c r="H33" s="3" t="s">
        <v>64</v>
      </c>
      <c r="AE33" s="23"/>
      <c r="AF33" s="24"/>
      <c r="AG33" s="24"/>
      <c r="AH33" s="24"/>
      <c r="AI33" s="25"/>
    </row>
    <row r="34" spans="1:35" ht="23.25">
      <c r="A34" s="2" t="s">
        <v>37</v>
      </c>
      <c r="B34" s="2">
        <v>0</v>
      </c>
      <c r="C34" s="2" t="s">
        <v>31</v>
      </c>
      <c r="AA34" s="5" t="s">
        <v>83</v>
      </c>
      <c r="AE34" s="23"/>
      <c r="AF34" s="24"/>
      <c r="AG34" s="24"/>
      <c r="AH34" s="24"/>
      <c r="AI34" s="25"/>
    </row>
    <row r="35" spans="1:35" ht="24.75" customHeight="1">
      <c r="A35" s="2" t="s">
        <v>25</v>
      </c>
      <c r="B35" s="2">
        <v>0.0175</v>
      </c>
      <c r="C35" s="2">
        <v>0.0025</v>
      </c>
      <c r="D35" s="2">
        <v>0.0126</v>
      </c>
      <c r="E35" s="2">
        <v>0.0224</v>
      </c>
      <c r="I35" s="19" t="s">
        <v>75</v>
      </c>
      <c r="J35" s="19"/>
      <c r="AC35" s="6">
        <f>I9</f>
        <v>2</v>
      </c>
      <c r="AD35" s="6" t="s">
        <v>92</v>
      </c>
      <c r="AE35" s="23"/>
      <c r="AF35" s="24"/>
      <c r="AG35" s="24"/>
      <c r="AH35" s="24"/>
      <c r="AI35" s="25"/>
    </row>
    <row r="36" spans="1:35" ht="12.75">
      <c r="A36" s="2" t="s">
        <v>38</v>
      </c>
      <c r="B36" s="2">
        <v>0</v>
      </c>
      <c r="C36" s="2" t="s">
        <v>31</v>
      </c>
      <c r="H36" s="2" t="s">
        <v>63</v>
      </c>
      <c r="I36" s="2" t="s">
        <v>76</v>
      </c>
      <c r="J36" s="2" t="s">
        <v>77</v>
      </c>
      <c r="AE36" s="23"/>
      <c r="AF36" s="24"/>
      <c r="AG36" s="24"/>
      <c r="AH36" s="24"/>
      <c r="AI36" s="25"/>
    </row>
    <row r="37" spans="1:35" ht="12.75" customHeight="1">
      <c r="A37" s="2" t="s">
        <v>26</v>
      </c>
      <c r="B37" s="2">
        <v>0.3888</v>
      </c>
      <c r="C37" s="2">
        <v>0.1761</v>
      </c>
      <c r="D37" s="2">
        <v>0.0434</v>
      </c>
      <c r="E37" s="2">
        <v>0.7343</v>
      </c>
      <c r="H37" s="2">
        <v>0</v>
      </c>
      <c r="I37" s="2">
        <f aca="true" t="shared" si="0" ref="I37:I52">100*Nmax*H$37:H$65536/(H$37:H$65536+Km)</f>
        <v>0</v>
      </c>
      <c r="J37" s="2">
        <f>ManureTAN*ManureRate*I37/100</f>
        <v>0</v>
      </c>
      <c r="AE37" s="23"/>
      <c r="AF37" s="24"/>
      <c r="AG37" s="24"/>
      <c r="AH37" s="24"/>
      <c r="AI37" s="25"/>
    </row>
    <row r="38" spans="1:35" ht="22.5" customHeight="1">
      <c r="A38" s="2" t="s">
        <v>27</v>
      </c>
      <c r="B38" s="2">
        <v>0.7024</v>
      </c>
      <c r="C38" s="2">
        <v>0.1922</v>
      </c>
      <c r="D38" s="2">
        <v>0.3256</v>
      </c>
      <c r="E38" s="2">
        <v>1.0793</v>
      </c>
      <c r="H38" s="2">
        <v>1</v>
      </c>
      <c r="I38" s="2">
        <f t="shared" si="0"/>
        <v>1.543353114939242</v>
      </c>
      <c r="J38" s="2">
        <f aca="true" t="shared" si="1" ref="J38:J52">ManureTAN*ManureRate*I38/100</f>
        <v>1.1575148362044316</v>
      </c>
      <c r="AA38" s="5" t="s">
        <v>103</v>
      </c>
      <c r="AE38" s="23"/>
      <c r="AF38" s="24"/>
      <c r="AG38" s="24"/>
      <c r="AH38" s="24"/>
      <c r="AI38" s="25"/>
    </row>
    <row r="39" spans="8:35" ht="24.75" customHeight="1">
      <c r="H39" s="2">
        <v>2</v>
      </c>
      <c r="I39" s="2">
        <f t="shared" si="0"/>
        <v>2.939535398405265</v>
      </c>
      <c r="J39" s="2">
        <f t="shared" si="1"/>
        <v>2.2046515488039486</v>
      </c>
      <c r="AE39" s="23"/>
      <c r="AF39" s="24"/>
      <c r="AG39" s="24"/>
      <c r="AH39" s="24"/>
      <c r="AI39" s="25"/>
    </row>
    <row r="40" spans="8:35" ht="20.25" customHeight="1">
      <c r="H40" s="2">
        <v>3</v>
      </c>
      <c r="I40" s="2">
        <f t="shared" si="0"/>
        <v>4.20863968623469</v>
      </c>
      <c r="J40" s="2">
        <f t="shared" si="1"/>
        <v>3.1564797646760177</v>
      </c>
      <c r="AA40" s="6" t="s">
        <v>93</v>
      </c>
      <c r="AB40" s="6" t="s">
        <v>94</v>
      </c>
      <c r="AE40" s="23"/>
      <c r="AF40" s="24"/>
      <c r="AG40" s="24"/>
      <c r="AH40" s="24"/>
      <c r="AI40" s="25"/>
    </row>
    <row r="41" spans="8:35" ht="12.75" customHeight="1">
      <c r="H41" s="2">
        <v>4</v>
      </c>
      <c r="I41" s="2">
        <f t="shared" si="0"/>
        <v>5.367260396672355</v>
      </c>
      <c r="J41" s="2">
        <f t="shared" si="1"/>
        <v>4.025445297504266</v>
      </c>
      <c r="AE41" s="23"/>
      <c r="AF41" s="24"/>
      <c r="AG41" s="24"/>
      <c r="AH41" s="24"/>
      <c r="AI41" s="25"/>
    </row>
    <row r="42" spans="8:35" ht="12.75" customHeight="1">
      <c r="H42" s="2">
        <v>6</v>
      </c>
      <c r="I42" s="2">
        <f t="shared" si="0"/>
        <v>7.40613920472024</v>
      </c>
      <c r="J42" s="2">
        <f t="shared" si="1"/>
        <v>5.55460440354018</v>
      </c>
      <c r="AE42" s="23"/>
      <c r="AF42" s="24"/>
      <c r="AG42" s="24"/>
      <c r="AH42" s="24"/>
      <c r="AI42" s="25"/>
    </row>
    <row r="43" spans="8:35" ht="22.5" customHeight="1">
      <c r="H43" s="2">
        <v>8</v>
      </c>
      <c r="I43" s="2">
        <f t="shared" si="0"/>
        <v>9.142666570898514</v>
      </c>
      <c r="J43" s="2">
        <f t="shared" si="1"/>
        <v>6.856999928173885</v>
      </c>
      <c r="AA43" s="5" t="s">
        <v>84</v>
      </c>
      <c r="AE43" s="23"/>
      <c r="AF43" s="24"/>
      <c r="AG43" s="24"/>
      <c r="AH43" s="24"/>
      <c r="AI43" s="25"/>
    </row>
    <row r="44" spans="8:35" ht="24.75" customHeight="1">
      <c r="H44" s="2">
        <v>10</v>
      </c>
      <c r="I44" s="2">
        <f t="shared" si="0"/>
        <v>10.639454904983406</v>
      </c>
      <c r="J44" s="2">
        <f t="shared" si="1"/>
        <v>7.979591178737554</v>
      </c>
      <c r="AC44" s="6">
        <f>I11</f>
        <v>3</v>
      </c>
      <c r="AD44" s="6" t="s">
        <v>95</v>
      </c>
      <c r="AE44" s="23"/>
      <c r="AF44" s="24"/>
      <c r="AG44" s="24"/>
      <c r="AH44" s="24"/>
      <c r="AI44" s="25"/>
    </row>
    <row r="45" spans="8:35" ht="12.75" customHeight="1">
      <c r="H45" s="2">
        <v>15</v>
      </c>
      <c r="I45" s="2">
        <f t="shared" si="0"/>
        <v>13.610421946725348</v>
      </c>
      <c r="J45" s="2">
        <f t="shared" si="1"/>
        <v>10.207816460044011</v>
      </c>
      <c r="AE45" s="23"/>
      <c r="AF45" s="24"/>
      <c r="AG45" s="24"/>
      <c r="AH45" s="24"/>
      <c r="AI45" s="25"/>
    </row>
    <row r="46" spans="8:35" ht="12.75" customHeight="1">
      <c r="H46" s="2">
        <v>20</v>
      </c>
      <c r="I46" s="2">
        <f t="shared" si="0"/>
        <v>15.819087089490752</v>
      </c>
      <c r="J46" s="2">
        <f t="shared" si="1"/>
        <v>11.864315317118065</v>
      </c>
      <c r="AE46" s="23"/>
      <c r="AF46" s="24"/>
      <c r="AG46" s="24"/>
      <c r="AH46" s="24"/>
      <c r="AI46" s="25"/>
    </row>
    <row r="47" spans="8:35" ht="23.25">
      <c r="H47" s="2">
        <v>30</v>
      </c>
      <c r="I47" s="2">
        <f t="shared" si="0"/>
        <v>18.883445227071245</v>
      </c>
      <c r="J47" s="2">
        <f t="shared" si="1"/>
        <v>14.162583920303435</v>
      </c>
      <c r="AA47" s="5" t="s">
        <v>85</v>
      </c>
      <c r="AE47" s="26"/>
      <c r="AF47" s="27"/>
      <c r="AG47" s="27"/>
      <c r="AH47" s="27"/>
      <c r="AI47" s="28"/>
    </row>
    <row r="48" spans="8:30" ht="24.75" customHeight="1">
      <c r="H48" s="2">
        <v>40</v>
      </c>
      <c r="I48" s="2">
        <f t="shared" si="0"/>
        <v>20.90857337107865</v>
      </c>
      <c r="J48" s="2">
        <f t="shared" si="1"/>
        <v>15.681430028308988</v>
      </c>
      <c r="AC48" s="6">
        <f>I12</f>
        <v>2.5</v>
      </c>
      <c r="AD48" s="6" t="s">
        <v>96</v>
      </c>
    </row>
    <row r="49" spans="8:10" ht="12.75">
      <c r="H49" s="2">
        <v>50</v>
      </c>
      <c r="I49" s="2">
        <f t="shared" si="0"/>
        <v>22.34648341127256</v>
      </c>
      <c r="J49" s="2">
        <f t="shared" si="1"/>
        <v>16.75986255845442</v>
      </c>
    </row>
    <row r="50" spans="8:10" ht="12.75">
      <c r="H50" s="2">
        <v>75</v>
      </c>
      <c r="I50" s="2">
        <f t="shared" si="0"/>
        <v>24.602402796853298</v>
      </c>
      <c r="J50" s="2">
        <f t="shared" si="1"/>
        <v>18.451802097639973</v>
      </c>
    </row>
    <row r="51" spans="8:27" ht="23.25">
      <c r="H51" s="2">
        <v>100</v>
      </c>
      <c r="I51" s="2">
        <f t="shared" si="0"/>
        <v>25.91024678585201</v>
      </c>
      <c r="J51" s="2">
        <f t="shared" si="1"/>
        <v>19.432685089389008</v>
      </c>
      <c r="AA51" s="5" t="s">
        <v>86</v>
      </c>
    </row>
    <row r="52" spans="8:10" ht="24.75" customHeight="1">
      <c r="H52" s="2">
        <v>150</v>
      </c>
      <c r="I52" s="2">
        <f t="shared" si="0"/>
        <v>27.364945318323194</v>
      </c>
      <c r="J52" s="2">
        <f t="shared" si="1"/>
        <v>20.523708988742396</v>
      </c>
    </row>
    <row r="53" spans="27:28" ht="20.25">
      <c r="AA53" s="6" t="str">
        <f>IF(P13=1,"Broad spread",IF(P13=2,"Band spread/trailing hose",IF(P13=3,"Trailing shoe",IF(P13=4,"Open slot",IF(P13=5,"Closed slot","Pressurised injection")))))</f>
        <v>Broad spread</v>
      </c>
      <c r="AB53" s="6"/>
    </row>
    <row r="55" ht="12.75">
      <c r="H55" s="3" t="s">
        <v>79</v>
      </c>
    </row>
    <row r="56" spans="8:27" ht="23.25">
      <c r="H56" s="2">
        <v>0</v>
      </c>
      <c r="I56" s="2">
        <f>100*Nmax</f>
        <v>30.826360551129184</v>
      </c>
      <c r="AA56" s="5" t="s">
        <v>87</v>
      </c>
    </row>
    <row r="57" spans="8:30" ht="24.75" customHeight="1">
      <c r="H57" s="2">
        <v>150</v>
      </c>
      <c r="I57" s="2">
        <f>100*Nmax</f>
        <v>30.826360551129184</v>
      </c>
      <c r="AC57" s="6">
        <f>I18</f>
        <v>30</v>
      </c>
      <c r="AD57" s="6" t="s">
        <v>97</v>
      </c>
    </row>
    <row r="59" ht="12.75">
      <c r="H59" s="3" t="s">
        <v>80</v>
      </c>
    </row>
    <row r="60" spans="8:27" ht="23.25">
      <c r="H60" s="2">
        <v>0</v>
      </c>
      <c r="I60" s="2">
        <f>50*Nmax</f>
        <v>15.413180275564592</v>
      </c>
      <c r="AA60" s="5" t="s">
        <v>104</v>
      </c>
    </row>
    <row r="61" spans="8:9" ht="24.75" customHeight="1">
      <c r="H61" s="2">
        <f>Km</f>
        <v>18.973627715354525</v>
      </c>
      <c r="I61" s="2">
        <f>50*Nmax</f>
        <v>15.413180275564592</v>
      </c>
    </row>
    <row r="62" spans="8:28" ht="20.25">
      <c r="H62" s="2">
        <f>Km</f>
        <v>18.973627715354525</v>
      </c>
      <c r="I62" s="2">
        <v>0</v>
      </c>
      <c r="AA62" s="6" t="s">
        <v>98</v>
      </c>
      <c r="AB62" s="6" t="s">
        <v>99</v>
      </c>
    </row>
    <row r="65" ht="23.25">
      <c r="AA65" s="5" t="s">
        <v>88</v>
      </c>
    </row>
    <row r="66" ht="24.75" customHeight="1"/>
    <row r="67" spans="27:30" ht="20.25">
      <c r="AA67" s="6" t="str">
        <f>IF(P20=1,"Wind tunnel",IF(P20=2,"Micromet. mass balance","Lennart boxes (dyn. chambers)"))</f>
        <v>Micromet. mass balance</v>
      </c>
      <c r="AB67" s="6"/>
      <c r="AC67" s="6"/>
      <c r="AD67" s="6"/>
    </row>
  </sheetData>
  <sheetProtection/>
  <mergeCells count="2">
    <mergeCell ref="I35:J35"/>
    <mergeCell ref="AE32:AI4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JordbrugsForskning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Henning T. Søgaard</dc:creator>
  <cp:keywords/>
  <dc:description/>
  <cp:lastModifiedBy>Sasha Hafner</cp:lastModifiedBy>
  <dcterms:created xsi:type="dcterms:W3CDTF">2000-10-18T08:57:00Z</dcterms:created>
  <dcterms:modified xsi:type="dcterms:W3CDTF">2014-07-05T09:20:41Z</dcterms:modified>
  <cp:category/>
  <cp:version/>
  <cp:contentType/>
  <cp:contentStatus/>
</cp:coreProperties>
</file>